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сад 01.01.2021 (2)" sheetId="2" r:id="rId1"/>
  </sheets>
  <definedNames>
    <definedName name="_xlnm.Print_Area" localSheetId="0">'сад 01.01.2021 (2)'!$A$1:$AD$39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/>
  <c r="C43"/>
  <c r="Z37" l="1"/>
  <c r="Z35"/>
  <c r="Z34"/>
  <c r="Z33"/>
  <c r="Z32"/>
  <c r="Z31"/>
  <c r="Z30"/>
  <c r="AC39"/>
  <c r="AC38"/>
  <c r="AB38"/>
  <c r="X38"/>
  <c r="U38"/>
  <c r="T38"/>
  <c r="S38"/>
  <c r="R38"/>
  <c r="Q38"/>
  <c r="P38"/>
  <c r="O38"/>
  <c r="N38"/>
  <c r="M38"/>
  <c r="K38"/>
  <c r="K39" s="1"/>
  <c r="I38"/>
  <c r="H38"/>
  <c r="H39" s="1"/>
  <c r="G38"/>
  <c r="F38"/>
  <c r="F39" s="1"/>
  <c r="C39"/>
  <c r="E37"/>
  <c r="E36"/>
  <c r="V36" s="1"/>
  <c r="V38" s="1"/>
  <c r="E35"/>
  <c r="Y34"/>
  <c r="E34"/>
  <c r="E33"/>
  <c r="E32"/>
  <c r="Y31"/>
  <c r="E31"/>
  <c r="E30"/>
  <c r="E29"/>
  <c r="J28"/>
  <c r="E28"/>
  <c r="AC27"/>
  <c r="AB27"/>
  <c r="AB39" s="1"/>
  <c r="Z27"/>
  <c r="Y27"/>
  <c r="X27"/>
  <c r="W27"/>
  <c r="V27"/>
  <c r="U27"/>
  <c r="U39" s="1"/>
  <c r="T27"/>
  <c r="T39" s="1"/>
  <c r="S27"/>
  <c r="S39" s="1"/>
  <c r="R27"/>
  <c r="R39" s="1"/>
  <c r="Q27"/>
  <c r="Q39" s="1"/>
  <c r="P27"/>
  <c r="P39" s="1"/>
  <c r="O27"/>
  <c r="O39" s="1"/>
  <c r="N27"/>
  <c r="N39" s="1"/>
  <c r="M27"/>
  <c r="M39" s="1"/>
  <c r="J27"/>
  <c r="H27"/>
  <c r="G27"/>
  <c r="G39" s="1"/>
  <c r="F27"/>
  <c r="C27"/>
  <c r="L26"/>
  <c r="E26"/>
  <c r="E24"/>
  <c r="L23"/>
  <c r="E23"/>
  <c r="I22"/>
  <c r="E22"/>
  <c r="L22" s="1"/>
  <c r="AA22" s="1"/>
  <c r="AD22" s="1"/>
  <c r="L21"/>
  <c r="L20"/>
  <c r="I19"/>
  <c r="E19"/>
  <c r="D19"/>
  <c r="L18"/>
  <c r="I17"/>
  <c r="E17"/>
  <c r="AA17" s="1"/>
  <c r="AD17" s="1"/>
  <c r="D17"/>
  <c r="Z36" l="1"/>
  <c r="I24"/>
  <c r="AA24" s="1"/>
  <c r="D24"/>
  <c r="L25"/>
  <c r="L27" s="1"/>
  <c r="L39" s="1"/>
  <c r="Y29"/>
  <c r="J29"/>
  <c r="J38" s="1"/>
  <c r="J39" s="1"/>
  <c r="L29"/>
  <c r="L38" s="1"/>
  <c r="AA19"/>
  <c r="AD19" s="1"/>
  <c r="I23"/>
  <c r="AA23" s="1"/>
  <c r="AD23" s="1"/>
  <c r="AA26"/>
  <c r="I26"/>
  <c r="E27"/>
  <c r="V39"/>
  <c r="E38"/>
  <c r="AA28"/>
  <c r="AA31"/>
  <c r="AD31" s="1"/>
  <c r="AA34"/>
  <c r="AD34" s="1"/>
  <c r="AA32"/>
  <c r="AD32" s="1"/>
  <c r="AA36"/>
  <c r="AD36" s="1"/>
  <c r="AA37"/>
  <c r="AD37" s="1"/>
  <c r="W28"/>
  <c r="W38" s="1"/>
  <c r="W39" s="1"/>
  <c r="Y30"/>
  <c r="AA30" s="1"/>
  <c r="AD30" s="1"/>
  <c r="Y33"/>
  <c r="AA33" s="1"/>
  <c r="AD33" s="1"/>
  <c r="Y35"/>
  <c r="AA35" s="1"/>
  <c r="AD35" s="1"/>
  <c r="E39" l="1"/>
  <c r="AD25"/>
  <c r="AD24"/>
  <c r="AD28"/>
  <c r="AA27"/>
  <c r="AD26"/>
  <c r="AD27" s="1"/>
  <c r="I27"/>
  <c r="I39" s="1"/>
  <c r="Z38"/>
  <c r="Z39" s="1"/>
  <c r="AA29"/>
  <c r="AD29" s="1"/>
  <c r="Y38"/>
  <c r="Y39" s="1"/>
  <c r="AA38" l="1"/>
  <c r="AD38"/>
  <c r="AD39" s="1"/>
  <c r="AA52" l="1"/>
  <c r="AE38"/>
  <c r="AA39"/>
  <c r="AE39" l="1"/>
</calcChain>
</file>

<file path=xl/sharedStrings.xml><?xml version="1.0" encoding="utf-8"?>
<sst xmlns="http://schemas.openxmlformats.org/spreadsheetml/2006/main" count="62" uniqueCount="60">
  <si>
    <r>
      <t xml:space="preserve">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Штатний розпис</t>
    </r>
  </si>
  <si>
    <t>№</t>
  </si>
  <si>
    <t>Посада</t>
  </si>
  <si>
    <t>Кіл-ть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</si>
  <si>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</si>
  <si>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</si>
  <si>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</si>
  <si>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</si>
  <si>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</si>
  <si>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</si>
  <si>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</si>
  <si>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</si>
  <si>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 20%</t>
  </si>
  <si>
    <t>За звання  10% від посад. окладу</t>
  </si>
  <si>
    <t xml:space="preserve">За кількість   дітей </t>
  </si>
  <si>
    <t>за престижність педагогічним працівникам до 30%</t>
  </si>
  <si>
    <t xml:space="preserve">За складн. напруж. у роботі Рішення сесії 30% </t>
  </si>
  <si>
    <t>Вислуга років</t>
  </si>
  <si>
    <t>Інклюзивна доплата (20%)</t>
  </si>
  <si>
    <t>За книжк фонд 5%</t>
  </si>
  <si>
    <t>Керівництво гуртком</t>
  </si>
  <si>
    <t>Керівництво школою</t>
  </si>
  <si>
    <t>за класне керівництво 20%</t>
  </si>
  <si>
    <t>перевірка зошитів 15%</t>
  </si>
  <si>
    <t>зав. Кабінетом 10%</t>
  </si>
  <si>
    <t>50%бібліотекарям Постанови КМУ №1250 від 30.09.09</t>
  </si>
  <si>
    <t>доплата за експеримент 30%, 15%</t>
  </si>
  <si>
    <t>За роботу в нічний час 40 %</t>
  </si>
  <si>
    <t>За впровадженя інов. Систем (10%)</t>
  </si>
  <si>
    <t>За несприятливі умови праці , старшинство</t>
  </si>
  <si>
    <t>%</t>
  </si>
  <si>
    <t>сума</t>
  </si>
  <si>
    <t>Сума</t>
  </si>
  <si>
    <t>Вихователь - яслі</t>
  </si>
  <si>
    <t>Вихователь – сад</t>
  </si>
  <si>
    <t>Керівник гуртка</t>
  </si>
  <si>
    <t>Практичний психолог</t>
  </si>
  <si>
    <t>Музичний керівник</t>
  </si>
  <si>
    <t>Інструктор з фізкультури</t>
  </si>
  <si>
    <t>Всього педзарплата</t>
  </si>
  <si>
    <t>Завідувач господарства</t>
  </si>
  <si>
    <t>Медична сестра</t>
  </si>
  <si>
    <t>Кухар</t>
  </si>
  <si>
    <t>Підсобний робітник</t>
  </si>
  <si>
    <t>Кастелянка</t>
  </si>
  <si>
    <t>Машиніст з прання та ремонту білизни</t>
  </si>
  <si>
    <t>Помічники вихователя</t>
  </si>
  <si>
    <t>Помічник вихователя дітей до 3-х років</t>
  </si>
  <si>
    <t>Сторож</t>
  </si>
  <si>
    <t>Двірник</t>
  </si>
  <si>
    <t>Всього МОП</t>
  </si>
  <si>
    <t>Директор  НВК                                                  Л.М.Драчевська</t>
  </si>
  <si>
    <t>Головний бухгалтер</t>
  </si>
  <si>
    <t>Н.Л. Бутенко</t>
  </si>
  <si>
    <t>Н.Л.Бутенко</t>
  </si>
  <si>
    <t>Фонд заробітної плати на місяць січень-червень</t>
  </si>
  <si>
    <t>Річний фонд зарплати січень-червень</t>
  </si>
  <si>
    <t>Здвижівське НВО " ЗОШ І-ІІ ступенів - ДНЗ</t>
  </si>
  <si>
    <t>Додаток 10 до рішення Бучанської міської ради</t>
  </si>
  <si>
    <t>від «02»  грудня 2020 року № 44- 2-VIIІ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</si>
</sst>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/>
    <xf numFmtId="4" fontId="4" fillId="2" borderId="0" xfId="1" applyNumberFormat="1" applyFont="1" applyFill="1" applyBorder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/>
    <xf numFmtId="0" fontId="6" fillId="2" borderId="0" xfId="1" applyFont="1" applyFill="1" applyAlignment="1"/>
    <xf numFmtId="0" fontId="4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/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 vertical="center"/>
    </xf>
    <xf numFmtId="0" fontId="8" fillId="2" borderId="0" xfId="1" applyFont="1" applyFill="1"/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vertical="center"/>
    </xf>
    <xf numFmtId="0" fontId="9" fillId="2" borderId="0" xfId="1" applyFont="1" applyFill="1" applyBorder="1" applyAlignment="1">
      <alignment horizontal="left" vertical="center"/>
    </xf>
    <xf numFmtId="0" fontId="10" fillId="2" borderId="0" xfId="1" applyFont="1" applyFill="1"/>
    <xf numFmtId="0" fontId="3" fillId="2" borderId="1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horizontal="center" vertical="center" wrapText="1"/>
    </xf>
    <xf numFmtId="2" fontId="3" fillId="2" borderId="12" xfId="1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4" fontId="3" fillId="2" borderId="12" xfId="1" applyNumberFormat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0" borderId="12" xfId="2" applyNumberFormat="1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" fontId="4" fillId="2" borderId="12" xfId="2" applyNumberFormat="1" applyFont="1" applyFill="1" applyBorder="1" applyAlignment="1">
      <alignment horizontal="center" vertical="center" wrapText="1"/>
    </xf>
    <xf numFmtId="4" fontId="4" fillId="0" borderId="12" xfId="2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/>
    <xf numFmtId="4" fontId="4" fillId="2" borderId="2" xfId="1" applyNumberFormat="1" applyFont="1" applyFill="1" applyBorder="1" applyAlignment="1">
      <alignment horizontal="center" vertical="center" wrapText="1"/>
    </xf>
    <xf numFmtId="165" fontId="3" fillId="0" borderId="11" xfId="2" applyNumberFormat="1" applyFont="1" applyFill="1" applyBorder="1" applyAlignment="1">
      <alignment horizontal="center" vertical="center" wrapText="1"/>
    </xf>
    <xf numFmtId="1" fontId="3" fillId="0" borderId="11" xfId="2" applyNumberFormat="1" applyFont="1" applyFill="1" applyBorder="1" applyAlignment="1">
      <alignment horizontal="center" vertical="center" wrapText="1"/>
    </xf>
    <xf numFmtId="4" fontId="3" fillId="2" borderId="12" xfId="2" applyNumberFormat="1" applyFont="1" applyFill="1" applyBorder="1" applyAlignment="1">
      <alignment horizontal="center" vertical="center" wrapText="1"/>
    </xf>
    <xf numFmtId="0" fontId="3" fillId="2" borderId="12" xfId="2" applyNumberFormat="1" applyFont="1" applyFill="1" applyBorder="1" applyAlignment="1">
      <alignment horizontal="center" vertical="center" wrapText="1"/>
    </xf>
    <xf numFmtId="2" fontId="3" fillId="0" borderId="12" xfId="2" applyNumberFormat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" fillId="2" borderId="12" xfId="1" applyFont="1" applyFill="1" applyBorder="1" applyAlignment="1">
      <alignment vertical="center" wrapText="1"/>
    </xf>
    <xf numFmtId="1" fontId="3" fillId="2" borderId="12" xfId="1" applyNumberFormat="1" applyFont="1" applyFill="1" applyBorder="1" applyAlignment="1">
      <alignment horizontal="center" vertical="center" wrapText="1"/>
    </xf>
    <xf numFmtId="4" fontId="3" fillId="2" borderId="12" xfId="2" applyNumberFormat="1" applyFont="1" applyFill="1" applyBorder="1" applyAlignment="1">
      <alignment vertical="center" wrapText="1"/>
    </xf>
    <xf numFmtId="164" fontId="3" fillId="0" borderId="12" xfId="2" applyFont="1" applyFill="1" applyBorder="1" applyAlignment="1">
      <alignment horizontal="center" vertical="center" wrapText="1"/>
    </xf>
    <xf numFmtId="164" fontId="3" fillId="2" borderId="12" xfId="2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/>
    <xf numFmtId="0" fontId="9" fillId="2" borderId="0" xfId="1" applyFont="1" applyFill="1" applyAlignment="1"/>
    <xf numFmtId="0" fontId="9" fillId="2" borderId="1" xfId="1" applyFont="1" applyFill="1" applyBorder="1" applyAlignment="1"/>
    <xf numFmtId="0" fontId="9" fillId="2" borderId="0" xfId="1" applyFont="1" applyFill="1" applyBorder="1" applyAlignment="1"/>
    <xf numFmtId="0" fontId="9" fillId="2" borderId="0" xfId="1" applyFont="1" applyFill="1" applyAlignment="1">
      <alignment horizontal="left"/>
    </xf>
    <xf numFmtId="0" fontId="11" fillId="2" borderId="1" xfId="1" applyFont="1" applyFill="1" applyBorder="1"/>
    <xf numFmtId="0" fontId="9" fillId="2" borderId="1" xfId="1" applyFont="1" applyFill="1" applyBorder="1"/>
    <xf numFmtId="0" fontId="1" fillId="2" borderId="0" xfId="0" applyFont="1" applyFill="1"/>
    <xf numFmtId="2" fontId="1" fillId="2" borderId="0" xfId="0" applyNumberFormat="1" applyFont="1" applyFill="1"/>
    <xf numFmtId="4" fontId="1" fillId="2" borderId="0" xfId="0" applyNumberFormat="1" applyFont="1" applyFill="1"/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11" xfId="2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2" fontId="3" fillId="2" borderId="6" xfId="1" applyNumberFormat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4" fontId="3" fillId="2" borderId="0" xfId="1" applyNumberFormat="1" applyFont="1" applyFill="1" applyBorder="1" applyAlignment="1">
      <alignment horizontal="right"/>
    </xf>
    <xf numFmtId="0" fontId="3" fillId="2" borderId="0" xfId="1" applyFont="1" applyFill="1" applyBorder="1" applyAlignment="1">
      <alignment horizontal="right"/>
    </xf>
    <xf numFmtId="0" fontId="9" fillId="2" borderId="1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4" fontId="3" fillId="2" borderId="11" xfId="2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wrapText="1"/>
    </xf>
    <xf numFmtId="0" fontId="0" fillId="2" borderId="0" xfId="0" applyFill="1" applyAlignment="1">
      <alignment wrapText="1"/>
    </xf>
    <xf numFmtId="4" fontId="3" fillId="2" borderId="6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2" fontId="3" fillId="0" borderId="6" xfId="2" applyNumberFormat="1" applyFont="1" applyFill="1" applyBorder="1" applyAlignment="1">
      <alignment horizontal="center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Штати НВК Берізка на 01.01.15р." xfId="1"/>
    <cellStyle name="Финансовый_Штати НВК Берізка на 01.01.15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2"/>
  <sheetViews>
    <sheetView tabSelected="1" view="pageBreakPreview" zoomScale="85" zoomScaleNormal="75" zoomScaleSheetLayoutView="85" workbookViewId="0">
      <selection activeCell="AA3" sqref="AA3:AD3"/>
    </sheetView>
  </sheetViews>
  <sheetFormatPr defaultRowHeight="12.75"/>
  <cols>
    <col min="1" max="1" width="4.7109375" style="62" customWidth="1"/>
    <col min="2" max="2" width="26.85546875" style="62" customWidth="1"/>
    <col min="3" max="3" width="7.5703125" style="62" customWidth="1"/>
    <col min="4" max="4" width="9.85546875" style="62" customWidth="1"/>
    <col min="5" max="5" width="12.28515625" style="62" customWidth="1"/>
    <col min="6" max="6" width="10.42578125" style="62" bestFit="1" customWidth="1"/>
    <col min="7" max="7" width="8.85546875" style="62" customWidth="1"/>
    <col min="8" max="8" width="7.5703125" style="62" customWidth="1"/>
    <col min="9" max="9" width="12.85546875" style="62" customWidth="1"/>
    <col min="10" max="10" width="10.28515625" style="62" customWidth="1"/>
    <col min="11" max="11" width="6.7109375" style="62" customWidth="1"/>
    <col min="12" max="12" width="10.140625" style="62" customWidth="1"/>
    <col min="13" max="13" width="12" style="62" customWidth="1"/>
    <col min="14" max="14" width="7.7109375" style="62" hidden="1" customWidth="1"/>
    <col min="15" max="15" width="8.28515625" style="62" hidden="1" customWidth="1"/>
    <col min="16" max="16" width="8" style="62" hidden="1" customWidth="1"/>
    <col min="17" max="17" width="9" style="62" hidden="1" customWidth="1"/>
    <col min="18" max="18" width="9.7109375" style="62" hidden="1" customWidth="1"/>
    <col min="19" max="19" width="8.85546875" style="62" hidden="1" customWidth="1"/>
    <col min="20" max="20" width="9.5703125" style="62" hidden="1" customWidth="1"/>
    <col min="21" max="21" width="7.5703125" style="62" hidden="1" customWidth="1"/>
    <col min="22" max="22" width="10.7109375" style="62" customWidth="1"/>
    <col min="23" max="23" width="1.85546875" style="62" hidden="1" customWidth="1"/>
    <col min="24" max="24" width="7.42578125" style="62" customWidth="1"/>
    <col min="25" max="25" width="9" style="62" customWidth="1"/>
    <col min="26" max="26" width="10.28515625" style="62" customWidth="1"/>
    <col min="27" max="27" width="12.28515625" style="62" customWidth="1"/>
    <col min="28" max="28" width="11.28515625" style="62" customWidth="1"/>
    <col min="29" max="29" width="12.5703125" style="62" customWidth="1"/>
    <col min="30" max="30" width="13" style="62" customWidth="1"/>
    <col min="31" max="31" width="13.140625" style="62" bestFit="1" customWidth="1"/>
    <col min="32" max="16384" width="9.140625" style="62"/>
  </cols>
  <sheetData>
    <row r="1" spans="1:30" s="4" customFormat="1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3"/>
      <c r="Y1" s="2"/>
      <c r="Z1" s="2"/>
      <c r="AA1" s="2"/>
    </row>
    <row r="2" spans="1:30" s="4" customFormat="1" ht="15">
      <c r="A2" s="1"/>
      <c r="B2" s="1"/>
      <c r="C2" s="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6"/>
      <c r="W2" s="6"/>
      <c r="X2" s="6"/>
      <c r="Y2" s="6"/>
      <c r="Z2" s="6"/>
      <c r="AA2" s="84" t="s">
        <v>58</v>
      </c>
      <c r="AB2" s="84"/>
      <c r="AC2" s="84"/>
      <c r="AD2" s="84"/>
    </row>
    <row r="3" spans="1:30" s="4" customFormat="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6"/>
      <c r="W3" s="6"/>
      <c r="X3" s="6"/>
      <c r="Y3" s="6"/>
      <c r="Z3" s="6"/>
      <c r="AA3" s="85" t="s">
        <v>59</v>
      </c>
      <c r="AB3" s="85"/>
      <c r="AC3" s="85"/>
      <c r="AD3" s="85"/>
    </row>
    <row r="4" spans="1:30" s="4" customFormat="1" ht="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10"/>
      <c r="Y4" s="10"/>
      <c r="Z4" s="11"/>
      <c r="AA4" s="10"/>
    </row>
    <row r="5" spans="1:30" s="4" customFormat="1" ht="18.75">
      <c r="A5" s="12" t="s">
        <v>0</v>
      </c>
      <c r="B5" s="7"/>
      <c r="C5" s="7"/>
      <c r="D5" s="13"/>
      <c r="E5" s="13"/>
      <c r="F5" s="13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3"/>
      <c r="T5" s="13"/>
      <c r="U5" s="7"/>
      <c r="V5" s="15"/>
      <c r="W5" s="15"/>
      <c r="X5" s="15"/>
      <c r="Y5" s="16"/>
      <c r="Z5" s="7"/>
      <c r="AA5" s="7"/>
    </row>
    <row r="6" spans="1:30" s="4" customFormat="1" ht="15.75">
      <c r="A6" s="17"/>
      <c r="B6" s="18"/>
      <c r="C6" s="18"/>
      <c r="D6" s="19"/>
      <c r="F6" s="86" t="s">
        <v>57</v>
      </c>
      <c r="G6" s="86"/>
      <c r="H6" s="86"/>
      <c r="I6" s="86"/>
      <c r="J6" s="86"/>
      <c r="K6" s="86"/>
      <c r="L6" s="86"/>
      <c r="M6" s="86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19"/>
      <c r="Z6" s="19"/>
      <c r="AA6" s="19"/>
      <c r="AB6" s="19"/>
      <c r="AC6" s="19"/>
      <c r="AD6" s="19"/>
    </row>
    <row r="7" spans="1:30" s="22" customFormat="1" ht="15" customHeight="1">
      <c r="A7" s="107" t="s">
        <v>1</v>
      </c>
      <c r="B7" s="107" t="s">
        <v>2</v>
      </c>
      <c r="C7" s="107" t="s">
        <v>3</v>
      </c>
      <c r="D7" s="107" t="s">
        <v>4</v>
      </c>
      <c r="E7" s="107" t="s">
        <v>5</v>
      </c>
      <c r="F7" s="119" t="s">
        <v>6</v>
      </c>
      <c r="G7" s="125"/>
      <c r="H7" s="120"/>
      <c r="I7" s="119" t="s">
        <v>7</v>
      </c>
      <c r="J7" s="125"/>
      <c r="K7" s="125"/>
      <c r="L7" s="120"/>
      <c r="M7" s="80"/>
      <c r="N7" s="125" t="s">
        <v>8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0"/>
      <c r="Z7" s="107" t="s">
        <v>9</v>
      </c>
      <c r="AA7" s="107" t="s">
        <v>55</v>
      </c>
      <c r="AB7" s="107" t="s">
        <v>10</v>
      </c>
      <c r="AC7" s="107" t="s">
        <v>11</v>
      </c>
      <c r="AD7" s="107" t="s">
        <v>56</v>
      </c>
    </row>
    <row r="8" spans="1:30" s="22" customFormat="1" ht="15" hidden="1" customHeight="1">
      <c r="A8" s="108"/>
      <c r="B8" s="108"/>
      <c r="C8" s="108"/>
      <c r="D8" s="108"/>
      <c r="E8" s="108"/>
      <c r="F8" s="121"/>
      <c r="G8" s="126"/>
      <c r="H8" s="122"/>
      <c r="I8" s="121"/>
      <c r="J8" s="126"/>
      <c r="K8" s="126"/>
      <c r="L8" s="122"/>
      <c r="M8" s="81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2"/>
      <c r="Z8" s="108"/>
      <c r="AA8" s="108"/>
      <c r="AB8" s="108"/>
      <c r="AC8" s="108"/>
      <c r="AD8" s="108"/>
    </row>
    <row r="9" spans="1:30" s="22" customFormat="1" ht="6" customHeight="1">
      <c r="A9" s="108"/>
      <c r="B9" s="108"/>
      <c r="C9" s="108"/>
      <c r="D9" s="108"/>
      <c r="E9" s="108"/>
      <c r="F9" s="123"/>
      <c r="G9" s="127"/>
      <c r="H9" s="124"/>
      <c r="I9" s="123"/>
      <c r="J9" s="127"/>
      <c r="K9" s="127"/>
      <c r="L9" s="124"/>
      <c r="M9" s="82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4"/>
      <c r="Z9" s="108"/>
      <c r="AA9" s="108"/>
      <c r="AB9" s="108"/>
      <c r="AC9" s="108"/>
      <c r="AD9" s="108"/>
    </row>
    <row r="10" spans="1:30" s="22" customFormat="1" ht="15" customHeight="1">
      <c r="A10" s="108"/>
      <c r="B10" s="108"/>
      <c r="C10" s="108"/>
      <c r="D10" s="108"/>
      <c r="E10" s="108"/>
      <c r="F10" s="107" t="s">
        <v>12</v>
      </c>
      <c r="G10" s="107" t="s">
        <v>13</v>
      </c>
      <c r="H10" s="107" t="s">
        <v>14</v>
      </c>
      <c r="I10" s="107" t="s">
        <v>15</v>
      </c>
      <c r="J10" s="107" t="s">
        <v>16</v>
      </c>
      <c r="K10" s="119" t="s">
        <v>17</v>
      </c>
      <c r="L10" s="120"/>
      <c r="M10" s="107" t="s">
        <v>18</v>
      </c>
      <c r="N10" s="107" t="s">
        <v>19</v>
      </c>
      <c r="O10" s="107" t="s">
        <v>20</v>
      </c>
      <c r="P10" s="107" t="s">
        <v>21</v>
      </c>
      <c r="Q10" s="107" t="s">
        <v>22</v>
      </c>
      <c r="R10" s="107" t="s">
        <v>23</v>
      </c>
      <c r="S10" s="107" t="s">
        <v>24</v>
      </c>
      <c r="T10" s="128" t="s">
        <v>25</v>
      </c>
      <c r="U10" s="107" t="s">
        <v>26</v>
      </c>
      <c r="V10" s="107" t="s">
        <v>27</v>
      </c>
      <c r="W10" s="107" t="s">
        <v>28</v>
      </c>
      <c r="X10" s="119" t="s">
        <v>29</v>
      </c>
      <c r="Y10" s="120"/>
      <c r="Z10" s="108"/>
      <c r="AA10" s="108"/>
      <c r="AB10" s="108"/>
      <c r="AC10" s="108"/>
      <c r="AD10" s="108"/>
    </row>
    <row r="11" spans="1:30" s="22" customFormat="1" ht="21.75" hidden="1" customHeight="1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21"/>
      <c r="L11" s="122"/>
      <c r="M11" s="108"/>
      <c r="N11" s="108"/>
      <c r="O11" s="108"/>
      <c r="P11" s="108"/>
      <c r="Q11" s="108"/>
      <c r="R11" s="108"/>
      <c r="S11" s="108"/>
      <c r="T11" s="129"/>
      <c r="U11" s="108"/>
      <c r="V11" s="108"/>
      <c r="W11" s="108"/>
      <c r="X11" s="121"/>
      <c r="Y11" s="122"/>
      <c r="Z11" s="108"/>
      <c r="AA11" s="108"/>
      <c r="AB11" s="108"/>
      <c r="AC11" s="108"/>
      <c r="AD11" s="108"/>
    </row>
    <row r="12" spans="1:30" s="22" customFormat="1" ht="15" hidden="1" customHeight="1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21"/>
      <c r="L12" s="122"/>
      <c r="M12" s="108"/>
      <c r="N12" s="108"/>
      <c r="O12" s="108"/>
      <c r="P12" s="108"/>
      <c r="Q12" s="108"/>
      <c r="R12" s="108"/>
      <c r="S12" s="108"/>
      <c r="T12" s="129"/>
      <c r="U12" s="108"/>
      <c r="V12" s="108"/>
      <c r="W12" s="108"/>
      <c r="X12" s="121"/>
      <c r="Y12" s="122"/>
      <c r="Z12" s="108"/>
      <c r="AA12" s="108"/>
      <c r="AB12" s="108"/>
      <c r="AC12" s="108"/>
      <c r="AD12" s="108"/>
    </row>
    <row r="13" spans="1:30" s="22" customFormat="1" ht="15" customHeight="1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23"/>
      <c r="L13" s="124"/>
      <c r="M13" s="108"/>
      <c r="N13" s="108"/>
      <c r="O13" s="108"/>
      <c r="P13" s="108"/>
      <c r="Q13" s="108"/>
      <c r="R13" s="108"/>
      <c r="S13" s="108"/>
      <c r="T13" s="129"/>
      <c r="U13" s="108"/>
      <c r="V13" s="108"/>
      <c r="W13" s="108"/>
      <c r="X13" s="121"/>
      <c r="Y13" s="122"/>
      <c r="Z13" s="108"/>
      <c r="AA13" s="108"/>
      <c r="AB13" s="108"/>
      <c r="AC13" s="108"/>
      <c r="AD13" s="108"/>
    </row>
    <row r="14" spans="1:30" s="22" customFormat="1" ht="15" customHeight="1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7" t="s">
        <v>30</v>
      </c>
      <c r="L14" s="107" t="s">
        <v>31</v>
      </c>
      <c r="M14" s="108"/>
      <c r="N14" s="108"/>
      <c r="O14" s="108"/>
      <c r="P14" s="108"/>
      <c r="Q14" s="108"/>
      <c r="R14" s="108"/>
      <c r="S14" s="108"/>
      <c r="T14" s="129"/>
      <c r="U14" s="108"/>
      <c r="V14" s="108"/>
      <c r="W14" s="108"/>
      <c r="X14" s="123"/>
      <c r="Y14" s="124"/>
      <c r="Z14" s="108"/>
      <c r="AA14" s="108"/>
      <c r="AB14" s="108"/>
      <c r="AC14" s="108"/>
      <c r="AD14" s="108"/>
    </row>
    <row r="15" spans="1:30" s="22" customFormat="1" ht="15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30"/>
      <c r="U15" s="109"/>
      <c r="V15" s="109"/>
      <c r="W15" s="109"/>
      <c r="X15" s="23" t="s">
        <v>30</v>
      </c>
      <c r="Y15" s="23" t="s">
        <v>32</v>
      </c>
      <c r="Z15" s="109"/>
      <c r="AA15" s="109"/>
      <c r="AB15" s="109"/>
      <c r="AC15" s="109"/>
      <c r="AD15" s="109"/>
    </row>
    <row r="16" spans="1:30" s="22" customFormat="1" ht="14.25">
      <c r="A16" s="24">
        <v>1</v>
      </c>
      <c r="B16" s="24">
        <v>2</v>
      </c>
      <c r="C16" s="25">
        <v>3</v>
      </c>
      <c r="D16" s="26">
        <v>4</v>
      </c>
      <c r="E16" s="27">
        <v>5</v>
      </c>
      <c r="F16" s="25">
        <v>6</v>
      </c>
      <c r="G16" s="26">
        <v>7</v>
      </c>
      <c r="H16" s="24">
        <v>8</v>
      </c>
      <c r="I16" s="24">
        <v>9</v>
      </c>
      <c r="J16" s="26">
        <v>10</v>
      </c>
      <c r="K16" s="26">
        <v>11</v>
      </c>
      <c r="L16" s="26">
        <v>12</v>
      </c>
      <c r="M16" s="25">
        <v>13</v>
      </c>
      <c r="N16" s="25">
        <v>14</v>
      </c>
      <c r="O16" s="25">
        <v>15</v>
      </c>
      <c r="P16" s="25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4"/>
      <c r="AA16" s="24">
        <v>26</v>
      </c>
      <c r="AB16" s="24">
        <v>27</v>
      </c>
      <c r="AC16" s="24">
        <v>28</v>
      </c>
      <c r="AD16" s="26">
        <v>29</v>
      </c>
    </row>
    <row r="17" spans="1:30" s="22" customFormat="1" ht="13.5" customHeight="1">
      <c r="A17" s="107">
        <v>2</v>
      </c>
      <c r="B17" s="101" t="s">
        <v>33</v>
      </c>
      <c r="C17" s="103">
        <v>1.55</v>
      </c>
      <c r="D17" s="91">
        <f>E17/C17</f>
        <v>5786.0000000000009</v>
      </c>
      <c r="E17" s="91">
        <f>5786*1.55</f>
        <v>8968.3000000000011</v>
      </c>
      <c r="F17" s="91"/>
      <c r="G17" s="91"/>
      <c r="H17" s="91"/>
      <c r="I17" s="91">
        <f>(E17+F17+G17)*0.2</f>
        <v>1793.6600000000003</v>
      </c>
      <c r="J17" s="91"/>
      <c r="K17" s="28">
        <v>10</v>
      </c>
      <c r="L17" s="29">
        <v>0</v>
      </c>
      <c r="M17" s="91"/>
      <c r="N17" s="72"/>
      <c r="O17" s="72"/>
      <c r="P17" s="72"/>
      <c r="Q17" s="72"/>
      <c r="R17" s="72"/>
      <c r="S17" s="72"/>
      <c r="T17" s="72"/>
      <c r="U17" s="72"/>
      <c r="V17" s="94"/>
      <c r="W17" s="72"/>
      <c r="X17" s="94"/>
      <c r="Y17" s="94"/>
      <c r="Z17" s="94"/>
      <c r="AA17" s="87">
        <f>E17+I17+L17+L18</f>
        <v>13452.45</v>
      </c>
      <c r="AB17" s="96"/>
      <c r="AC17" s="96"/>
      <c r="AD17" s="87">
        <f>(AA17*6)+AB17+AC17</f>
        <v>80714.700000000012</v>
      </c>
    </row>
    <row r="18" spans="1:30" s="22" customFormat="1" ht="15">
      <c r="A18" s="109"/>
      <c r="B18" s="111"/>
      <c r="C18" s="113"/>
      <c r="D18" s="93"/>
      <c r="E18" s="93"/>
      <c r="F18" s="93"/>
      <c r="G18" s="93"/>
      <c r="H18" s="93"/>
      <c r="I18" s="93"/>
      <c r="J18" s="93"/>
      <c r="K18" s="28">
        <v>30</v>
      </c>
      <c r="L18" s="29">
        <f>5786*1.55*K18%</f>
        <v>2690.4900000000002</v>
      </c>
      <c r="M18" s="93"/>
      <c r="N18" s="74"/>
      <c r="O18" s="74"/>
      <c r="P18" s="74"/>
      <c r="Q18" s="74"/>
      <c r="R18" s="74"/>
      <c r="S18" s="74"/>
      <c r="T18" s="74"/>
      <c r="U18" s="74"/>
      <c r="V18" s="95"/>
      <c r="W18" s="74"/>
      <c r="X18" s="95"/>
      <c r="Y18" s="95"/>
      <c r="Z18" s="95"/>
      <c r="AA18" s="90"/>
      <c r="AB18" s="97"/>
      <c r="AC18" s="97"/>
      <c r="AD18" s="90"/>
    </row>
    <row r="19" spans="1:30" s="22" customFormat="1" ht="15">
      <c r="A19" s="107">
        <v>3</v>
      </c>
      <c r="B19" s="101" t="s">
        <v>34</v>
      </c>
      <c r="C19" s="103">
        <v>1.55</v>
      </c>
      <c r="D19" s="105">
        <f>E19/C19</f>
        <v>5871.2258064516127</v>
      </c>
      <c r="E19" s="105">
        <f>5786*1.45+7107*0.1</f>
        <v>9100.4</v>
      </c>
      <c r="F19" s="91"/>
      <c r="G19" s="91"/>
      <c r="H19" s="91"/>
      <c r="I19" s="91">
        <f>(E19+F19+G19)*0.2</f>
        <v>1820.08</v>
      </c>
      <c r="J19" s="91"/>
      <c r="K19" s="28">
        <v>10</v>
      </c>
      <c r="L19" s="29"/>
      <c r="M19" s="91"/>
      <c r="N19" s="72"/>
      <c r="O19" s="72"/>
      <c r="P19" s="72"/>
      <c r="Q19" s="94"/>
      <c r="R19" s="94"/>
      <c r="S19" s="116"/>
      <c r="T19" s="94"/>
      <c r="U19" s="94"/>
      <c r="V19" s="94"/>
      <c r="W19" s="30"/>
      <c r="X19" s="94"/>
      <c r="Y19" s="94"/>
      <c r="Z19" s="94"/>
      <c r="AA19" s="87">
        <f>E19+G19+I19+L19+L20+L21</f>
        <v>13650.599999999999</v>
      </c>
      <c r="AB19" s="96"/>
      <c r="AC19" s="96"/>
      <c r="AD19" s="87">
        <f>(AA19*6)+AB19+AC19</f>
        <v>81903.599999999991</v>
      </c>
    </row>
    <row r="20" spans="1:30" s="22" customFormat="1" ht="14.25" customHeight="1">
      <c r="A20" s="108"/>
      <c r="B20" s="110"/>
      <c r="C20" s="112"/>
      <c r="D20" s="114"/>
      <c r="E20" s="114"/>
      <c r="F20" s="92"/>
      <c r="G20" s="92"/>
      <c r="H20" s="92"/>
      <c r="I20" s="92"/>
      <c r="J20" s="92"/>
      <c r="K20" s="28">
        <v>20</v>
      </c>
      <c r="L20" s="29">
        <f>0*K20%</f>
        <v>0</v>
      </c>
      <c r="M20" s="92"/>
      <c r="N20" s="73"/>
      <c r="O20" s="73"/>
      <c r="P20" s="73"/>
      <c r="Q20" s="106"/>
      <c r="R20" s="106"/>
      <c r="S20" s="117"/>
      <c r="T20" s="106"/>
      <c r="U20" s="106"/>
      <c r="V20" s="106"/>
      <c r="W20" s="30"/>
      <c r="X20" s="106"/>
      <c r="Y20" s="106"/>
      <c r="Z20" s="106"/>
      <c r="AA20" s="89"/>
      <c r="AB20" s="100"/>
      <c r="AC20" s="100"/>
      <c r="AD20" s="89"/>
    </row>
    <row r="21" spans="1:30" s="22" customFormat="1" ht="15">
      <c r="A21" s="109"/>
      <c r="B21" s="111"/>
      <c r="C21" s="113"/>
      <c r="D21" s="115"/>
      <c r="E21" s="115"/>
      <c r="F21" s="93"/>
      <c r="G21" s="93"/>
      <c r="H21" s="93"/>
      <c r="I21" s="93"/>
      <c r="J21" s="93"/>
      <c r="K21" s="28">
        <v>30</v>
      </c>
      <c r="L21" s="29">
        <f>(5786*1.45+7107*0.1)*K21%</f>
        <v>2730.12</v>
      </c>
      <c r="M21" s="93"/>
      <c r="N21" s="74"/>
      <c r="O21" s="74"/>
      <c r="P21" s="74"/>
      <c r="Q21" s="95"/>
      <c r="R21" s="95"/>
      <c r="S21" s="118"/>
      <c r="T21" s="95"/>
      <c r="U21" s="95"/>
      <c r="V21" s="95"/>
      <c r="W21" s="30"/>
      <c r="X21" s="95"/>
      <c r="Y21" s="95"/>
      <c r="Z21" s="95"/>
      <c r="AA21" s="90"/>
      <c r="AB21" s="97"/>
      <c r="AC21" s="97"/>
      <c r="AD21" s="90"/>
    </row>
    <row r="22" spans="1:30" s="22" customFormat="1" ht="15">
      <c r="A22" s="77">
        <v>8</v>
      </c>
      <c r="B22" s="78" t="s">
        <v>35</v>
      </c>
      <c r="C22" s="31">
        <v>0.25</v>
      </c>
      <c r="D22" s="29">
        <v>6226</v>
      </c>
      <c r="E22" s="75">
        <f>D22*C22</f>
        <v>1556.5</v>
      </c>
      <c r="F22" s="75"/>
      <c r="G22" s="75"/>
      <c r="H22" s="75"/>
      <c r="I22" s="75">
        <f>(E22+F22+G22)*0.2</f>
        <v>311.3</v>
      </c>
      <c r="J22" s="75"/>
      <c r="K22" s="28">
        <v>30</v>
      </c>
      <c r="L22" s="29">
        <f>(E22+F22+G22)*K22%</f>
        <v>466.95</v>
      </c>
      <c r="M22" s="75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32">
        <f>E22+I22+L22</f>
        <v>2334.75</v>
      </c>
      <c r="AB22" s="32"/>
      <c r="AC22" s="32"/>
      <c r="AD22" s="67">
        <f>(AA22*6)+AB22+AC22</f>
        <v>14008.5</v>
      </c>
    </row>
    <row r="23" spans="1:30" s="22" customFormat="1" ht="13.5" customHeight="1">
      <c r="A23" s="23">
        <v>9</v>
      </c>
      <c r="B23" s="33" t="s">
        <v>36</v>
      </c>
      <c r="C23" s="34">
        <v>0.5</v>
      </c>
      <c r="D23" s="29">
        <v>7107</v>
      </c>
      <c r="E23" s="29">
        <f>D23*C23</f>
        <v>3553.5</v>
      </c>
      <c r="F23" s="29"/>
      <c r="G23" s="29"/>
      <c r="H23" s="29"/>
      <c r="I23" s="75">
        <f>(E23+F23+G23)*0.2</f>
        <v>710.7</v>
      </c>
      <c r="J23" s="29"/>
      <c r="K23" s="28">
        <v>30</v>
      </c>
      <c r="L23" s="29">
        <f>(E23+F23+G23)*K23%</f>
        <v>1066.05</v>
      </c>
      <c r="M23" s="29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74"/>
      <c r="AA23" s="32">
        <f>E23+I23+L23</f>
        <v>5330.25</v>
      </c>
      <c r="AB23" s="32"/>
      <c r="AC23" s="32"/>
      <c r="AD23" s="32">
        <f>(AA23*6)+AB23+AC23</f>
        <v>31981.5</v>
      </c>
    </row>
    <row r="24" spans="1:30" s="22" customFormat="1" ht="15" hidden="1" customHeight="1">
      <c r="A24" s="76"/>
      <c r="B24" s="101" t="s">
        <v>37</v>
      </c>
      <c r="C24" s="103">
        <v>0.5</v>
      </c>
      <c r="D24" s="91">
        <f>E24/C24</f>
        <v>5345</v>
      </c>
      <c r="E24" s="91">
        <f>5345*0.5</f>
        <v>2672.5</v>
      </c>
      <c r="F24" s="105"/>
      <c r="G24" s="91"/>
      <c r="H24" s="70"/>
      <c r="I24" s="91">
        <f>(E24+F24+G24)*0.2</f>
        <v>534.5</v>
      </c>
      <c r="J24" s="70"/>
      <c r="K24" s="28"/>
      <c r="L24" s="29"/>
      <c r="M24" s="70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4"/>
      <c r="AA24" s="87">
        <f>E24+F24+G24+I24+L25+M25</f>
        <v>4008.75</v>
      </c>
      <c r="AB24" s="87"/>
      <c r="AC24" s="87"/>
      <c r="AD24" s="32">
        <f t="shared" ref="AD24" si="0">(AA24*6)+AB24+AC24</f>
        <v>24052.5</v>
      </c>
    </row>
    <row r="25" spans="1:30" s="22" customFormat="1" ht="15">
      <c r="A25" s="76">
        <v>10</v>
      </c>
      <c r="B25" s="102"/>
      <c r="C25" s="88"/>
      <c r="D25" s="104"/>
      <c r="E25" s="104"/>
      <c r="F25" s="104"/>
      <c r="G25" s="104"/>
      <c r="H25" s="70"/>
      <c r="I25" s="104"/>
      <c r="J25" s="70"/>
      <c r="K25" s="28">
        <v>30</v>
      </c>
      <c r="L25" s="29">
        <f>E24*0.3</f>
        <v>801.75</v>
      </c>
      <c r="M25" s="70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30"/>
      <c r="AA25" s="88"/>
      <c r="AB25" s="88"/>
      <c r="AC25" s="88"/>
      <c r="AD25" s="32">
        <f>AA24*6</f>
        <v>24052.5</v>
      </c>
    </row>
    <row r="26" spans="1:30" s="22" customFormat="1" ht="14.25" customHeight="1">
      <c r="A26" s="76">
        <v>11</v>
      </c>
      <c r="B26" s="68" t="s">
        <v>38</v>
      </c>
      <c r="C26" s="69">
        <v>0.25</v>
      </c>
      <c r="D26" s="70">
        <v>6226</v>
      </c>
      <c r="E26" s="71">
        <f>D26*C26</f>
        <v>1556.5</v>
      </c>
      <c r="F26" s="70"/>
      <c r="G26" s="70"/>
      <c r="H26" s="70"/>
      <c r="I26" s="70">
        <f>(E26+F26+G26)*0.2</f>
        <v>311.3</v>
      </c>
      <c r="J26" s="70"/>
      <c r="K26" s="28">
        <v>30</v>
      </c>
      <c r="L26" s="29">
        <f>E26*K26%</f>
        <v>466.95</v>
      </c>
      <c r="M26" s="70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30"/>
      <c r="AA26" s="65">
        <f>E26+I26+L26</f>
        <v>2334.75</v>
      </c>
      <c r="AB26" s="65"/>
      <c r="AC26" s="65"/>
      <c r="AD26" s="65">
        <f>(AA26*6)+AB26+AC26</f>
        <v>14008.5</v>
      </c>
    </row>
    <row r="27" spans="1:30" s="39" customFormat="1" ht="14.25">
      <c r="A27" s="35"/>
      <c r="B27" s="35" t="s">
        <v>39</v>
      </c>
      <c r="C27" s="36">
        <f>SUM(C17:C26)</f>
        <v>4.5999999999999996</v>
      </c>
      <c r="D27" s="37"/>
      <c r="E27" s="38">
        <f t="shared" ref="E27:J27" si="1">SUM(E17:E26)</f>
        <v>27407.7</v>
      </c>
      <c r="F27" s="38">
        <f t="shared" si="1"/>
        <v>0</v>
      </c>
      <c r="G27" s="38">
        <f t="shared" si="1"/>
        <v>0</v>
      </c>
      <c r="H27" s="38">
        <f t="shared" si="1"/>
        <v>0</v>
      </c>
      <c r="I27" s="38">
        <f t="shared" si="1"/>
        <v>5481.5400000000009</v>
      </c>
      <c r="J27" s="38">
        <f t="shared" si="1"/>
        <v>0</v>
      </c>
      <c r="K27" s="38"/>
      <c r="L27" s="38">
        <f t="shared" ref="L27:Z27" si="2">SUM(L17:L26)</f>
        <v>8222.3100000000013</v>
      </c>
      <c r="M27" s="38">
        <f t="shared" si="2"/>
        <v>0</v>
      </c>
      <c r="N27" s="35">
        <f t="shared" si="2"/>
        <v>0</v>
      </c>
      <c r="O27" s="35">
        <f t="shared" si="2"/>
        <v>0</v>
      </c>
      <c r="P27" s="35">
        <f t="shared" si="2"/>
        <v>0</v>
      </c>
      <c r="Q27" s="35">
        <f t="shared" si="2"/>
        <v>0</v>
      </c>
      <c r="R27" s="35">
        <f t="shared" si="2"/>
        <v>0</v>
      </c>
      <c r="S27" s="35">
        <f t="shared" si="2"/>
        <v>0</v>
      </c>
      <c r="T27" s="35">
        <f t="shared" si="2"/>
        <v>0</v>
      </c>
      <c r="U27" s="35">
        <f t="shared" si="2"/>
        <v>0</v>
      </c>
      <c r="V27" s="35">
        <f t="shared" si="2"/>
        <v>0</v>
      </c>
      <c r="W27" s="35">
        <f t="shared" si="2"/>
        <v>0</v>
      </c>
      <c r="X27" s="35">
        <f t="shared" si="2"/>
        <v>0</v>
      </c>
      <c r="Y27" s="35">
        <f t="shared" si="2"/>
        <v>0</v>
      </c>
      <c r="Z27" s="35">
        <f t="shared" si="2"/>
        <v>0</v>
      </c>
      <c r="AA27" s="35">
        <f>AA26+AA24+AA23+AA22+AA19+AA17</f>
        <v>41111.550000000003</v>
      </c>
      <c r="AB27" s="35">
        <f t="shared" ref="AB27:AD27" si="3">AB26+AB24+AB23+AB22+AB19+AB17</f>
        <v>0</v>
      </c>
      <c r="AC27" s="35">
        <f t="shared" si="3"/>
        <v>0</v>
      </c>
      <c r="AD27" s="35">
        <f t="shared" si="3"/>
        <v>246669.3</v>
      </c>
    </row>
    <row r="28" spans="1:30" s="39" customFormat="1" ht="15">
      <c r="A28" s="40"/>
      <c r="B28" s="78" t="s">
        <v>40</v>
      </c>
      <c r="C28" s="41">
        <v>0.5</v>
      </c>
      <c r="D28" s="79">
        <v>4379</v>
      </c>
      <c r="E28" s="79">
        <f>D28*C28</f>
        <v>2189.5</v>
      </c>
      <c r="F28" s="79"/>
      <c r="G28" s="79"/>
      <c r="H28" s="79"/>
      <c r="I28" s="79"/>
      <c r="J28" s="79">
        <f>E28*0.3</f>
        <v>656.85</v>
      </c>
      <c r="K28" s="79"/>
      <c r="L28" s="79"/>
      <c r="M28" s="79"/>
      <c r="N28" s="79"/>
      <c r="O28" s="79"/>
      <c r="P28" s="79"/>
      <c r="Q28" s="79"/>
      <c r="R28" s="79"/>
      <c r="S28" s="79"/>
      <c r="T28" s="42"/>
      <c r="U28" s="75"/>
      <c r="V28" s="29"/>
      <c r="W28" s="67">
        <f>E28+I28+J28+L28+M28+N28+O28+P28+Q28+R28+S28+U28+V28</f>
        <v>2846.35</v>
      </c>
      <c r="X28" s="66"/>
      <c r="Y28" s="66"/>
      <c r="Z28" s="30">
        <v>0</v>
      </c>
      <c r="AA28" s="65">
        <f>E28+Y28+V28+Z28+L28+J28+F28+G28+H28+I28+M28</f>
        <v>2846.35</v>
      </c>
      <c r="AB28" s="35"/>
      <c r="AC28" s="43"/>
      <c r="AD28" s="65">
        <f t="shared" ref="AD28:AD35" si="4">AA28*6+AC28</f>
        <v>17078.099999999999</v>
      </c>
    </row>
    <row r="29" spans="1:30" s="22" customFormat="1" ht="15">
      <c r="A29" s="76">
        <v>13</v>
      </c>
      <c r="B29" s="33" t="s">
        <v>41</v>
      </c>
      <c r="C29" s="44">
        <v>0.5</v>
      </c>
      <c r="D29" s="29">
        <v>4619</v>
      </c>
      <c r="E29" s="45">
        <f>4619*C29</f>
        <v>2309.5</v>
      </c>
      <c r="F29" s="46"/>
      <c r="G29" s="46"/>
      <c r="H29" s="46"/>
      <c r="I29" s="70"/>
      <c r="J29" s="79">
        <f>E29*0.3</f>
        <v>692.85</v>
      </c>
      <c r="K29" s="28">
        <v>30</v>
      </c>
      <c r="L29" s="29">
        <f>E29*K29%</f>
        <v>692.85</v>
      </c>
      <c r="M29" s="46"/>
      <c r="N29" s="46"/>
      <c r="O29" s="46"/>
      <c r="P29" s="46"/>
      <c r="Q29" s="46"/>
      <c r="R29" s="46"/>
      <c r="S29" s="46"/>
      <c r="T29" s="46"/>
      <c r="U29" s="46"/>
      <c r="V29" s="47"/>
      <c r="W29" s="48"/>
      <c r="X29" s="49">
        <v>10</v>
      </c>
      <c r="Y29" s="30">
        <f t="shared" ref="Y29:Y34" si="5">E29*X29%</f>
        <v>230.95000000000002</v>
      </c>
      <c r="Z29" s="30"/>
      <c r="AA29" s="65">
        <f>E29+Y29+V29+Z29+L29+J29+F29+G29+H29+I29+M29</f>
        <v>3926.1499999999996</v>
      </c>
      <c r="AB29" s="50"/>
      <c r="AC29" s="43"/>
      <c r="AD29" s="65">
        <f t="shared" si="4"/>
        <v>23556.899999999998</v>
      </c>
    </row>
    <row r="30" spans="1:30" s="22" customFormat="1" ht="15">
      <c r="A30" s="23">
        <v>17</v>
      </c>
      <c r="B30" s="33" t="s">
        <v>42</v>
      </c>
      <c r="C30" s="44">
        <v>1.5</v>
      </c>
      <c r="D30" s="29">
        <v>3391</v>
      </c>
      <c r="E30" s="45">
        <f t="shared" ref="E30:E37" si="6">D30*C30</f>
        <v>5086.5</v>
      </c>
      <c r="F30" s="29"/>
      <c r="G30" s="29"/>
      <c r="H30" s="29"/>
      <c r="I30" s="29"/>
      <c r="J30" s="29"/>
      <c r="K30" s="28"/>
      <c r="L30" s="28"/>
      <c r="M30" s="29"/>
      <c r="N30" s="29"/>
      <c r="O30" s="29"/>
      <c r="P30" s="29"/>
      <c r="Q30" s="28"/>
      <c r="R30" s="28"/>
      <c r="S30" s="28"/>
      <c r="T30" s="28"/>
      <c r="U30" s="28"/>
      <c r="V30" s="28"/>
      <c r="W30" s="23"/>
      <c r="X30" s="23">
        <v>4</v>
      </c>
      <c r="Y30" s="30">
        <f t="shared" si="5"/>
        <v>203.46</v>
      </c>
      <c r="Z30" s="30">
        <f t="shared" ref="Z30:Z37" si="7">6000*C30-(E30+L30+F30+M30)</f>
        <v>3913.5</v>
      </c>
      <c r="AA30" s="65">
        <f t="shared" ref="AA30:AA37" si="8">E30+Y30+V30+Z30+L30+J30+F30+G30+H30+I30+M30</f>
        <v>9203.4599999999991</v>
      </c>
      <c r="AB30" s="32"/>
      <c r="AC30" s="43"/>
      <c r="AD30" s="32">
        <f t="shared" si="4"/>
        <v>55220.759999999995</v>
      </c>
    </row>
    <row r="31" spans="1:30" s="22" customFormat="1" ht="15">
      <c r="A31" s="23">
        <v>15</v>
      </c>
      <c r="B31" s="33" t="s">
        <v>43</v>
      </c>
      <c r="C31" s="44">
        <v>0.5</v>
      </c>
      <c r="D31" s="29">
        <v>2670</v>
      </c>
      <c r="E31" s="45">
        <f t="shared" si="6"/>
        <v>1335</v>
      </c>
      <c r="F31" s="29"/>
      <c r="G31" s="29"/>
      <c r="H31" s="29"/>
      <c r="I31" s="29"/>
      <c r="J31" s="29"/>
      <c r="K31" s="28"/>
      <c r="L31" s="28"/>
      <c r="M31" s="29"/>
      <c r="N31" s="29"/>
      <c r="O31" s="29"/>
      <c r="P31" s="29"/>
      <c r="Q31" s="28"/>
      <c r="R31" s="28"/>
      <c r="S31" s="28"/>
      <c r="T31" s="28"/>
      <c r="U31" s="28"/>
      <c r="V31" s="28"/>
      <c r="W31" s="23"/>
      <c r="X31" s="23">
        <v>10</v>
      </c>
      <c r="Y31" s="30">
        <f t="shared" si="5"/>
        <v>133.5</v>
      </c>
      <c r="Z31" s="30">
        <f t="shared" si="7"/>
        <v>1665</v>
      </c>
      <c r="AA31" s="65">
        <f t="shared" si="8"/>
        <v>3133.5</v>
      </c>
      <c r="AB31" s="32"/>
      <c r="AC31" s="43"/>
      <c r="AD31" s="32">
        <f t="shared" si="4"/>
        <v>18801</v>
      </c>
    </row>
    <row r="32" spans="1:30" s="22" customFormat="1" ht="15">
      <c r="A32" s="23">
        <v>17</v>
      </c>
      <c r="B32" s="33" t="s">
        <v>44</v>
      </c>
      <c r="C32" s="44">
        <v>0.25</v>
      </c>
      <c r="D32" s="29">
        <v>2910</v>
      </c>
      <c r="E32" s="45">
        <f t="shared" si="6"/>
        <v>727.5</v>
      </c>
      <c r="F32" s="29"/>
      <c r="G32" s="29"/>
      <c r="H32" s="29"/>
      <c r="I32" s="29"/>
      <c r="J32" s="29"/>
      <c r="K32" s="28"/>
      <c r="L32" s="28"/>
      <c r="M32" s="29"/>
      <c r="N32" s="29"/>
      <c r="O32" s="29"/>
      <c r="P32" s="29"/>
      <c r="Q32" s="28"/>
      <c r="R32" s="28"/>
      <c r="S32" s="28"/>
      <c r="T32" s="28"/>
      <c r="U32" s="28"/>
      <c r="V32" s="28"/>
      <c r="W32" s="23"/>
      <c r="X32" s="23"/>
      <c r="Y32" s="30"/>
      <c r="Z32" s="30">
        <f t="shared" si="7"/>
        <v>772.5</v>
      </c>
      <c r="AA32" s="65">
        <f t="shared" si="8"/>
        <v>1500</v>
      </c>
      <c r="AB32" s="32"/>
      <c r="AC32" s="43"/>
      <c r="AD32" s="32">
        <f t="shared" si="4"/>
        <v>9000</v>
      </c>
    </row>
    <row r="33" spans="1:31" s="22" customFormat="1" ht="30">
      <c r="A33" s="23">
        <v>18</v>
      </c>
      <c r="B33" s="33" t="s">
        <v>45</v>
      </c>
      <c r="C33" s="34">
        <v>0.5</v>
      </c>
      <c r="D33" s="29">
        <v>2910</v>
      </c>
      <c r="E33" s="45">
        <f t="shared" si="6"/>
        <v>1455</v>
      </c>
      <c r="F33" s="29"/>
      <c r="G33" s="29"/>
      <c r="H33" s="29"/>
      <c r="I33" s="29"/>
      <c r="J33" s="29"/>
      <c r="K33" s="28"/>
      <c r="L33" s="28"/>
      <c r="M33" s="29"/>
      <c r="N33" s="29"/>
      <c r="O33" s="29"/>
      <c r="P33" s="29"/>
      <c r="Q33" s="28"/>
      <c r="R33" s="28"/>
      <c r="S33" s="28"/>
      <c r="T33" s="28"/>
      <c r="U33" s="28"/>
      <c r="V33" s="28"/>
      <c r="W33" s="23"/>
      <c r="X33" s="49">
        <v>4</v>
      </c>
      <c r="Y33" s="30">
        <f>E33*X33%</f>
        <v>58.2</v>
      </c>
      <c r="Z33" s="30">
        <f t="shared" si="7"/>
        <v>1545</v>
      </c>
      <c r="AA33" s="65">
        <f t="shared" si="8"/>
        <v>3058.2</v>
      </c>
      <c r="AB33" s="32"/>
      <c r="AC33" s="43"/>
      <c r="AD33" s="32">
        <f t="shared" si="4"/>
        <v>18349.199999999997</v>
      </c>
    </row>
    <row r="34" spans="1:31" s="22" customFormat="1" ht="15">
      <c r="A34" s="23">
        <v>20</v>
      </c>
      <c r="B34" s="33" t="s">
        <v>46</v>
      </c>
      <c r="C34" s="44">
        <v>1</v>
      </c>
      <c r="D34" s="29">
        <v>3872</v>
      </c>
      <c r="E34" s="45">
        <f t="shared" si="6"/>
        <v>3872</v>
      </c>
      <c r="F34" s="29"/>
      <c r="G34" s="29"/>
      <c r="H34" s="29"/>
      <c r="I34" s="29"/>
      <c r="J34" s="29"/>
      <c r="K34" s="28"/>
      <c r="L34" s="28"/>
      <c r="M34" s="29"/>
      <c r="N34" s="29"/>
      <c r="O34" s="29"/>
      <c r="P34" s="29"/>
      <c r="Q34" s="28"/>
      <c r="R34" s="28"/>
      <c r="S34" s="28"/>
      <c r="T34" s="28"/>
      <c r="U34" s="28"/>
      <c r="V34" s="28"/>
      <c r="W34" s="23"/>
      <c r="X34" s="49">
        <v>10</v>
      </c>
      <c r="Y34" s="30">
        <f t="shared" si="5"/>
        <v>387.20000000000005</v>
      </c>
      <c r="Z34" s="30">
        <f t="shared" si="7"/>
        <v>2128</v>
      </c>
      <c r="AA34" s="65">
        <f>E34+Y34+V34+Z34+L34+J34+F34+G34+H34+I34+M34-324.96</f>
        <v>6062.24</v>
      </c>
      <c r="AB34" s="32"/>
      <c r="AC34" s="43"/>
      <c r="AD34" s="32">
        <f t="shared" si="4"/>
        <v>36373.440000000002</v>
      </c>
    </row>
    <row r="35" spans="1:31" s="22" customFormat="1" ht="30">
      <c r="A35" s="23">
        <v>22</v>
      </c>
      <c r="B35" s="33" t="s">
        <v>47</v>
      </c>
      <c r="C35" s="34">
        <v>1.1299999999999999</v>
      </c>
      <c r="D35" s="29">
        <v>3872</v>
      </c>
      <c r="E35" s="45">
        <f t="shared" si="6"/>
        <v>4375.3599999999997</v>
      </c>
      <c r="F35" s="29"/>
      <c r="G35" s="29"/>
      <c r="H35" s="29"/>
      <c r="I35" s="29"/>
      <c r="J35" s="29"/>
      <c r="K35" s="28"/>
      <c r="L35" s="28"/>
      <c r="M35" s="29"/>
      <c r="N35" s="29"/>
      <c r="O35" s="29"/>
      <c r="P35" s="29"/>
      <c r="Q35" s="28"/>
      <c r="R35" s="28"/>
      <c r="S35" s="28"/>
      <c r="T35" s="28"/>
      <c r="U35" s="28"/>
      <c r="V35" s="28"/>
      <c r="W35" s="23"/>
      <c r="X35" s="49">
        <v>10</v>
      </c>
      <c r="Y35" s="30">
        <f>E35*X35%</f>
        <v>437.536</v>
      </c>
      <c r="Z35" s="30">
        <f t="shared" si="7"/>
        <v>2404.6399999999994</v>
      </c>
      <c r="AA35" s="65">
        <f t="shared" si="8"/>
        <v>7217.5359999999991</v>
      </c>
      <c r="AB35" s="32"/>
      <c r="AC35" s="43"/>
      <c r="AD35" s="32">
        <f t="shared" si="4"/>
        <v>43305.215999999993</v>
      </c>
    </row>
    <row r="36" spans="1:31" s="22" customFormat="1" ht="15">
      <c r="A36" s="23">
        <v>25</v>
      </c>
      <c r="B36" s="33" t="s">
        <v>48</v>
      </c>
      <c r="C36" s="44">
        <v>1</v>
      </c>
      <c r="D36" s="29">
        <v>2910</v>
      </c>
      <c r="E36" s="45">
        <f t="shared" si="6"/>
        <v>2910</v>
      </c>
      <c r="F36" s="29"/>
      <c r="G36" s="29"/>
      <c r="H36" s="29"/>
      <c r="I36" s="29"/>
      <c r="J36" s="29"/>
      <c r="K36" s="28"/>
      <c r="L36" s="28"/>
      <c r="M36" s="29"/>
      <c r="N36" s="29"/>
      <c r="O36" s="29"/>
      <c r="P36" s="29"/>
      <c r="Q36" s="28"/>
      <c r="R36" s="28"/>
      <c r="S36" s="28"/>
      <c r="T36" s="28"/>
      <c r="U36" s="28"/>
      <c r="V36" s="51">
        <f>E36*1.4/167*23*1</f>
        <v>561.08982035928136</v>
      </c>
      <c r="W36" s="52"/>
      <c r="X36" s="49"/>
      <c r="Y36" s="30"/>
      <c r="Z36" s="30">
        <f t="shared" si="7"/>
        <v>3090</v>
      </c>
      <c r="AA36" s="65">
        <f>E36+Y36+V36+Z36+L36+J36+F36+G36+H36+I36+M36</f>
        <v>6561.0898203592815</v>
      </c>
      <c r="AB36" s="32"/>
      <c r="AC36" s="43"/>
      <c r="AD36" s="32">
        <f>AA36*6+AC36+0.03</f>
        <v>39366.56892215569</v>
      </c>
    </row>
    <row r="37" spans="1:31" s="22" customFormat="1" ht="15">
      <c r="A37" s="23">
        <v>26</v>
      </c>
      <c r="B37" s="33" t="s">
        <v>49</v>
      </c>
      <c r="C37" s="44">
        <v>1</v>
      </c>
      <c r="D37" s="29">
        <v>2670</v>
      </c>
      <c r="E37" s="45">
        <f t="shared" si="6"/>
        <v>2670</v>
      </c>
      <c r="F37" s="29"/>
      <c r="G37" s="29"/>
      <c r="H37" s="29"/>
      <c r="I37" s="29"/>
      <c r="J37" s="29"/>
      <c r="K37" s="28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8"/>
      <c r="W37" s="23"/>
      <c r="X37" s="49"/>
      <c r="Y37" s="30"/>
      <c r="Z37" s="30">
        <f t="shared" si="7"/>
        <v>3330</v>
      </c>
      <c r="AA37" s="65">
        <f t="shared" si="8"/>
        <v>6000</v>
      </c>
      <c r="AB37" s="32"/>
      <c r="AC37" s="43"/>
      <c r="AD37" s="32">
        <f>AA37*6+AC37</f>
        <v>36000</v>
      </c>
    </row>
    <row r="38" spans="1:31" s="39" customFormat="1" ht="14.25">
      <c r="A38" s="35"/>
      <c r="B38" s="35" t="s">
        <v>50</v>
      </c>
      <c r="C38" s="36">
        <f>SUM(C28:C37)</f>
        <v>7.88</v>
      </c>
      <c r="D38" s="36"/>
      <c r="E38" s="36">
        <f>SUM(E28:E37)</f>
        <v>26930.36</v>
      </c>
      <c r="F38" s="36">
        <f t="shared" ref="F38:AD38" si="9">SUM(F28:F37)</f>
        <v>0</v>
      </c>
      <c r="G38" s="36">
        <f t="shared" si="9"/>
        <v>0</v>
      </c>
      <c r="H38" s="36">
        <f t="shared" si="9"/>
        <v>0</v>
      </c>
      <c r="I38" s="36">
        <f t="shared" si="9"/>
        <v>0</v>
      </c>
      <c r="J38" s="36">
        <f t="shared" si="9"/>
        <v>1349.7</v>
      </c>
      <c r="K38" s="36">
        <f t="shared" si="9"/>
        <v>30</v>
      </c>
      <c r="L38" s="36">
        <f t="shared" si="9"/>
        <v>692.85</v>
      </c>
      <c r="M38" s="36">
        <f t="shared" si="9"/>
        <v>0</v>
      </c>
      <c r="N38" s="36">
        <f t="shared" si="9"/>
        <v>0</v>
      </c>
      <c r="O38" s="36">
        <f t="shared" si="9"/>
        <v>0</v>
      </c>
      <c r="P38" s="36">
        <f t="shared" si="9"/>
        <v>0</v>
      </c>
      <c r="Q38" s="36">
        <f t="shared" si="9"/>
        <v>0</v>
      </c>
      <c r="R38" s="36">
        <f t="shared" si="9"/>
        <v>0</v>
      </c>
      <c r="S38" s="36">
        <f t="shared" si="9"/>
        <v>0</v>
      </c>
      <c r="T38" s="36">
        <f t="shared" si="9"/>
        <v>0</v>
      </c>
      <c r="U38" s="36">
        <f t="shared" si="9"/>
        <v>0</v>
      </c>
      <c r="V38" s="36">
        <f t="shared" si="9"/>
        <v>561.08982035928136</v>
      </c>
      <c r="W38" s="36">
        <f t="shared" si="9"/>
        <v>2846.35</v>
      </c>
      <c r="X38" s="36">
        <f t="shared" si="9"/>
        <v>48</v>
      </c>
      <c r="Y38" s="36">
        <f t="shared" si="9"/>
        <v>1450.8460000000002</v>
      </c>
      <c r="Z38" s="36">
        <f t="shared" si="9"/>
        <v>18848.64</v>
      </c>
      <c r="AA38" s="36">
        <f t="shared" si="9"/>
        <v>49508.525820359282</v>
      </c>
      <c r="AB38" s="36">
        <f t="shared" si="9"/>
        <v>0</v>
      </c>
      <c r="AC38" s="36">
        <f t="shared" si="9"/>
        <v>0</v>
      </c>
      <c r="AD38" s="36">
        <f t="shared" si="9"/>
        <v>297051.18492215569</v>
      </c>
      <c r="AE38" s="39">
        <f>AA38*6</f>
        <v>297051.15492215566</v>
      </c>
    </row>
    <row r="39" spans="1:31" s="39" customFormat="1" ht="15">
      <c r="A39" s="32"/>
      <c r="B39" s="35"/>
      <c r="C39" s="35">
        <f>C27+C38</f>
        <v>12.48</v>
      </c>
      <c r="D39" s="35"/>
      <c r="E39" s="35">
        <f t="shared" ref="E39:W39" si="10">E27+E38</f>
        <v>54338.06</v>
      </c>
      <c r="F39" s="35">
        <f t="shared" si="10"/>
        <v>0</v>
      </c>
      <c r="G39" s="35">
        <f t="shared" si="10"/>
        <v>0</v>
      </c>
      <c r="H39" s="35">
        <f t="shared" si="10"/>
        <v>0</v>
      </c>
      <c r="I39" s="35">
        <f t="shared" si="10"/>
        <v>5481.5400000000009</v>
      </c>
      <c r="J39" s="35">
        <f t="shared" si="10"/>
        <v>1349.7</v>
      </c>
      <c r="K39" s="35">
        <f t="shared" si="10"/>
        <v>30</v>
      </c>
      <c r="L39" s="35">
        <f t="shared" si="10"/>
        <v>8915.1600000000017</v>
      </c>
      <c r="M39" s="35">
        <f t="shared" si="10"/>
        <v>0</v>
      </c>
      <c r="N39" s="35">
        <f t="shared" si="10"/>
        <v>0</v>
      </c>
      <c r="O39" s="35">
        <f t="shared" si="10"/>
        <v>0</v>
      </c>
      <c r="P39" s="35">
        <f t="shared" si="10"/>
        <v>0</v>
      </c>
      <c r="Q39" s="35">
        <f t="shared" si="10"/>
        <v>0</v>
      </c>
      <c r="R39" s="35">
        <f t="shared" si="10"/>
        <v>0</v>
      </c>
      <c r="S39" s="35">
        <f t="shared" si="10"/>
        <v>0</v>
      </c>
      <c r="T39" s="35">
        <f t="shared" si="10"/>
        <v>0</v>
      </c>
      <c r="U39" s="35">
        <f t="shared" si="10"/>
        <v>0</v>
      </c>
      <c r="V39" s="35">
        <f t="shared" si="10"/>
        <v>561.08982035928136</v>
      </c>
      <c r="W39" s="35">
        <f t="shared" si="10"/>
        <v>2846.35</v>
      </c>
      <c r="X39" s="35"/>
      <c r="Y39" s="35">
        <f t="shared" ref="Y39:AD39" si="11">Y27+Y38</f>
        <v>1450.8460000000002</v>
      </c>
      <c r="Z39" s="35">
        <f t="shared" si="11"/>
        <v>18848.64</v>
      </c>
      <c r="AA39" s="35">
        <f t="shared" si="11"/>
        <v>90620.075820359285</v>
      </c>
      <c r="AB39" s="35">
        <f t="shared" si="11"/>
        <v>0</v>
      </c>
      <c r="AC39" s="35">
        <f t="shared" si="11"/>
        <v>0</v>
      </c>
      <c r="AD39" s="35">
        <f t="shared" si="11"/>
        <v>543720.48492215574</v>
      </c>
      <c r="AE39" s="39">
        <f>AA39*6</f>
        <v>543720.45492215571</v>
      </c>
    </row>
    <row r="40" spans="1:31" s="22" customFormat="1" ht="15">
      <c r="A40" s="81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</row>
    <row r="41" spans="1:31" s="22" customFormat="1" ht="15.75">
      <c r="A41" s="55"/>
      <c r="B41" s="56" t="s">
        <v>51</v>
      </c>
      <c r="C41" s="57"/>
      <c r="D41" s="57"/>
      <c r="E41" s="57"/>
      <c r="F41" s="58"/>
      <c r="G41" s="58"/>
      <c r="H41" s="58"/>
      <c r="I41" s="56"/>
      <c r="K41" s="59" t="s">
        <v>52</v>
      </c>
      <c r="L41" s="55"/>
      <c r="M41" s="55"/>
      <c r="N41" s="55"/>
      <c r="O41" s="55"/>
      <c r="P41" s="55"/>
      <c r="Q41" s="55" t="s">
        <v>52</v>
      </c>
      <c r="R41" s="55"/>
      <c r="S41" s="55"/>
      <c r="T41" s="60"/>
      <c r="U41" s="61"/>
      <c r="V41" s="61"/>
      <c r="W41" s="55" t="s">
        <v>53</v>
      </c>
      <c r="X41" s="61"/>
      <c r="Y41" s="61"/>
      <c r="Z41" s="61"/>
      <c r="AA41" s="55" t="s">
        <v>54</v>
      </c>
      <c r="AB41" s="55"/>
      <c r="AC41" s="55"/>
      <c r="AD41" s="55"/>
    </row>
    <row r="43" spans="1:31">
      <c r="C43" s="83">
        <f>C28+C29+C30+C31+C32+C33+C34+C35+C36+C37</f>
        <v>7.88</v>
      </c>
      <c r="AA43" s="63"/>
    </row>
    <row r="44" spans="1:31" ht="15">
      <c r="AA44" s="63"/>
      <c r="AB44" s="98"/>
      <c r="AC44" s="99"/>
      <c r="AD44" s="63"/>
    </row>
    <row r="52" spans="27:27">
      <c r="AA52" s="64">
        <f>AA38-Z38</f>
        <v>30659.885820359283</v>
      </c>
    </row>
  </sheetData>
  <mergeCells count="90">
    <mergeCell ref="F7:H9"/>
    <mergeCell ref="A7:A15"/>
    <mergeCell ref="B7:B15"/>
    <mergeCell ref="C7:C15"/>
    <mergeCell ref="D7:D15"/>
    <mergeCell ref="E7:E15"/>
    <mergeCell ref="AB7:AB15"/>
    <mergeCell ref="AC7:AC15"/>
    <mergeCell ref="P10:P15"/>
    <mergeCell ref="Q10:Q15"/>
    <mergeCell ref="R10:R15"/>
    <mergeCell ref="S10:S15"/>
    <mergeCell ref="T10:T15"/>
    <mergeCell ref="U10:U15"/>
    <mergeCell ref="V10:V15"/>
    <mergeCell ref="W10:W15"/>
    <mergeCell ref="X10:Y14"/>
    <mergeCell ref="K14:K15"/>
    <mergeCell ref="L14:L15"/>
    <mergeCell ref="AD7:AD15"/>
    <mergeCell ref="F10:F15"/>
    <mergeCell ref="G10:G15"/>
    <mergeCell ref="H10:H15"/>
    <mergeCell ref="I10:I15"/>
    <mergeCell ref="J10:J15"/>
    <mergeCell ref="K10:L13"/>
    <mergeCell ref="M10:M15"/>
    <mergeCell ref="N10:N15"/>
    <mergeCell ref="O10:O15"/>
    <mergeCell ref="I7:L9"/>
    <mergeCell ref="N7:Y9"/>
    <mergeCell ref="Z7:Z15"/>
    <mergeCell ref="AA7:AA15"/>
    <mergeCell ref="A17:A18"/>
    <mergeCell ref="B17:B18"/>
    <mergeCell ref="C17:C18"/>
    <mergeCell ref="D17:D18"/>
    <mergeCell ref="E17:E18"/>
    <mergeCell ref="F17:F18"/>
    <mergeCell ref="Q19:Q21"/>
    <mergeCell ref="R19:R21"/>
    <mergeCell ref="S19:S21"/>
    <mergeCell ref="T19:T21"/>
    <mergeCell ref="G19:G21"/>
    <mergeCell ref="H19:H21"/>
    <mergeCell ref="I19:I21"/>
    <mergeCell ref="X17:X18"/>
    <mergeCell ref="G17:G18"/>
    <mergeCell ref="H17:H18"/>
    <mergeCell ref="I17:I18"/>
    <mergeCell ref="J17:J18"/>
    <mergeCell ref="M17:M18"/>
    <mergeCell ref="V17:V18"/>
    <mergeCell ref="A19:A21"/>
    <mergeCell ref="B19:B21"/>
    <mergeCell ref="C19:C21"/>
    <mergeCell ref="D19:D21"/>
    <mergeCell ref="E19:E21"/>
    <mergeCell ref="AB44:AC44"/>
    <mergeCell ref="AB19:AB21"/>
    <mergeCell ref="AC19:AC21"/>
    <mergeCell ref="AD19:AD21"/>
    <mergeCell ref="B24:B25"/>
    <mergeCell ref="C24:C25"/>
    <mergeCell ref="D24:D25"/>
    <mergeCell ref="E24:E25"/>
    <mergeCell ref="F24:F25"/>
    <mergeCell ref="G24:G25"/>
    <mergeCell ref="I24:I25"/>
    <mergeCell ref="U19:U21"/>
    <mergeCell ref="V19:V21"/>
    <mergeCell ref="X19:X21"/>
    <mergeCell ref="Y19:Y21"/>
    <mergeCell ref="Z19:Z21"/>
    <mergeCell ref="AA2:AD2"/>
    <mergeCell ref="AA3:AD3"/>
    <mergeCell ref="F6:M6"/>
    <mergeCell ref="AA24:AA25"/>
    <mergeCell ref="AB24:AB25"/>
    <mergeCell ref="AC24:AC25"/>
    <mergeCell ref="AA19:AA21"/>
    <mergeCell ref="J19:J21"/>
    <mergeCell ref="M19:M21"/>
    <mergeCell ref="AD17:AD18"/>
    <mergeCell ref="Y17:Y18"/>
    <mergeCell ref="Z17:Z18"/>
    <mergeCell ref="AA17:AA18"/>
    <mergeCell ref="AB17:AB18"/>
    <mergeCell ref="AC17:AC18"/>
    <mergeCell ref="F19:F21"/>
  </mergeCells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62" orientation="landscape" horizontalDpi="180" verticalDpi="180" r:id="rId1"/>
  <rowBreaks count="1" manualBreakCount="1">
    <brk id="43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сад 01.01.2021 (2)</vt:lpstr>
      <vt:lpstr>'сад 01.01.2021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2020-11-25T11:55:19Z</cp:lastPrinted>
  <dcterms:created xsi:type="dcterms:W3CDTF">2020-10-30T07:10:32Z</dcterms:created>
  <dcterms:modified xsi:type="dcterms:W3CDTF">2020-12-03T14:33:58Z</dcterms:modified>
</cp:coreProperties>
</file>